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OneDrive\Pavel - osobni veci\__Podnikani\Linkedin\Soubory-projekty\"/>
    </mc:Choice>
  </mc:AlternateContent>
  <xr:revisionPtr revIDLastSave="0" documentId="13_ncr:1_{C4019DB6-E921-4AE4-99E7-44A8C825EA13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Kalkul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5" i="1"/>
  <c r="I5" i="1"/>
  <c r="I29" i="1" l="1"/>
  <c r="I30" i="1" s="1"/>
  <c r="I18" i="1"/>
  <c r="I16" i="1"/>
  <c r="I14" i="1"/>
  <c r="I12" i="1"/>
  <c r="I13" i="1" s="1"/>
  <c r="I9" i="1"/>
  <c r="I8" i="1"/>
  <c r="I15" i="1" l="1"/>
  <c r="I17" i="1" s="1"/>
  <c r="I25" i="1" s="1"/>
  <c r="I26" i="1" s="1"/>
  <c r="I10" i="1"/>
  <c r="L4" i="1" l="1"/>
  <c r="I19" i="1"/>
  <c r="I21" i="1" s="1"/>
  <c r="I23" i="1"/>
  <c r="I24" i="1" s="1"/>
  <c r="I27" i="1" s="1"/>
  <c r="R4" i="1" l="1"/>
  <c r="I32" i="1"/>
  <c r="I33" i="1" s="1"/>
  <c r="N4" i="1"/>
</calcChain>
</file>

<file path=xl/sharedStrings.xml><?xml version="1.0" encoding="utf-8"?>
<sst xmlns="http://schemas.openxmlformats.org/spreadsheetml/2006/main" count="192" uniqueCount="126">
  <si>
    <t>Položka</t>
  </si>
  <si>
    <t>Jednotka</t>
  </si>
  <si>
    <t>Hodnota</t>
  </si>
  <si>
    <t>Rozměry stavební komory</t>
  </si>
  <si>
    <t>X</t>
  </si>
  <si>
    <t>[mm]</t>
  </si>
  <si>
    <t>Y</t>
  </si>
  <si>
    <t>Z</t>
  </si>
  <si>
    <t>Cena stroje</t>
  </si>
  <si>
    <t>[tis. EUR]</t>
  </si>
  <si>
    <t>Životnost stroje</t>
  </si>
  <si>
    <t>[roky]</t>
  </si>
  <si>
    <t>Parametry výrobního procesu</t>
  </si>
  <si>
    <t>Průměr ohniska svazku</t>
  </si>
  <si>
    <t>Hatch spacing (překryv svazku při spékání)</t>
  </si>
  <si>
    <t>[-]</t>
  </si>
  <si>
    <t>Rychlost pohybu laserového svazku</t>
  </si>
  <si>
    <t>Rychlost skoků laserového svazku</t>
  </si>
  <si>
    <t>Tloušťka vrstvy</t>
  </si>
  <si>
    <t>Čas</t>
  </si>
  <si>
    <t>[hod]</t>
  </si>
  <si>
    <t>[sec]</t>
  </si>
  <si>
    <t>Spotřeba inertní atmosféry</t>
  </si>
  <si>
    <t>Inertní plyn N2</t>
  </si>
  <si>
    <t>[l/min.]</t>
  </si>
  <si>
    <t>Spotřeba při udržování atmosféry</t>
  </si>
  <si>
    <t xml:space="preserve">Cena </t>
  </si>
  <si>
    <t>Náklady na údržbu</t>
  </si>
  <si>
    <t>[EUR/rok]</t>
  </si>
  <si>
    <t>Laser</t>
  </si>
  <si>
    <t>Trvanlivost</t>
  </si>
  <si>
    <t>[hod.]</t>
  </si>
  <si>
    <t>[EUR/ks]</t>
  </si>
  <si>
    <t>Stavební plát (paleta) z nástrojové oceli</t>
  </si>
  <si>
    <t>[počet staveb]</t>
  </si>
  <si>
    <t>min. 20</t>
  </si>
  <si>
    <t>,</t>
  </si>
  <si>
    <t>Parametr</t>
  </si>
  <si>
    <t>Objem součásti</t>
  </si>
  <si>
    <t>[mm3]</t>
  </si>
  <si>
    <t>Rozměry bounding boxu</t>
  </si>
  <si>
    <t>Výška podpůrných struktur</t>
  </si>
  <si>
    <t>Suppfactor</t>
  </si>
  <si>
    <t>[%]</t>
  </si>
  <si>
    <t>Parametry materiálu závěsu</t>
  </si>
  <si>
    <t>Použitý materiál</t>
  </si>
  <si>
    <t>AlSi10Mg</t>
  </si>
  <si>
    <t>Hustota materiálu</t>
  </si>
  <si>
    <t>[g/cm3]</t>
  </si>
  <si>
    <t>Cena materiálu</t>
  </si>
  <si>
    <t>[EUR/kg]</t>
  </si>
  <si>
    <t>[kW]</t>
  </si>
  <si>
    <t>Set-up state</t>
  </si>
  <si>
    <t>Preheating + Creating Inert Atmosphere</t>
  </si>
  <si>
    <t>Recoat time</t>
  </si>
  <si>
    <t>Build job unpacking</t>
  </si>
  <si>
    <t>Build state</t>
  </si>
  <si>
    <t>Plocha pracoviště</t>
  </si>
  <si>
    <t>[m2]</t>
  </si>
  <si>
    <t>Osobní náklady na obsluhu</t>
  </si>
  <si>
    <t>Počet přejezdů svazku při výstavbě součásti</t>
  </si>
  <si>
    <t>Počet přejezdů svazkupři výstavbě supportu</t>
  </si>
  <si>
    <t>Výpočet</t>
  </si>
  <si>
    <t>Materiálové náklady</t>
  </si>
  <si>
    <t>Strojní náklady</t>
  </si>
  <si>
    <t>Výše ročních odpisů</t>
  </si>
  <si>
    <t>Provozní náklady</t>
  </si>
  <si>
    <t>Kapacita stroje</t>
  </si>
  <si>
    <t>Průměrná doba výroby zakázky</t>
  </si>
  <si>
    <t>Jednotky</t>
  </si>
  <si>
    <t>[EUR]</t>
  </si>
  <si>
    <t>[EUR/hod]</t>
  </si>
  <si>
    <t>Spotřeba času</t>
  </si>
  <si>
    <t>Čas přípravy materiálu</t>
  </si>
  <si>
    <t>Počet vrstev materiálu</t>
  </si>
  <si>
    <t>[mm2]</t>
  </si>
  <si>
    <t>Průměrná vzdálenost sl</t>
  </si>
  <si>
    <t>Průměrná vážená rychlost</t>
  </si>
  <si>
    <t>[mm/s]</t>
  </si>
  <si>
    <t>Čas výstavby</t>
  </si>
  <si>
    <t>Celkový čas</t>
  </si>
  <si>
    <t>Čas zpoždění</t>
  </si>
  <si>
    <t>Výpočet strojních nákladů</t>
  </si>
  <si>
    <t>Výpočet materiálových nákladů</t>
  </si>
  <si>
    <t>Výpočet nákladů na energii a ochrannou atmosféru</t>
  </si>
  <si>
    <t>Výpočet nákladů na 4. etapu</t>
  </si>
  <si>
    <t>Výpočet nákladů na obsluhu</t>
  </si>
  <si>
    <t>Roční kapacita obsluhy</t>
  </si>
  <si>
    <t>HNS stroje</t>
  </si>
  <si>
    <t>HNS obsluhy</t>
  </si>
  <si>
    <t>Náklady na obsluhu</t>
  </si>
  <si>
    <t>[min.]</t>
  </si>
  <si>
    <t>Spotřeba před spuštěním stavby</t>
  </si>
  <si>
    <t>Doba spotřeby před spuštěním stavby</t>
  </si>
  <si>
    <t>Spotřeba N2</t>
  </si>
  <si>
    <t>[m3]</t>
  </si>
  <si>
    <t>[EUR/m3]</t>
  </si>
  <si>
    <t>Spotřeba el. energie</t>
  </si>
  <si>
    <t>[kWh]</t>
  </si>
  <si>
    <t>Náklady energii a atmosféru</t>
  </si>
  <si>
    <t>Příkon stroje</t>
  </si>
  <si>
    <t>Cena elektrické energie</t>
  </si>
  <si>
    <t>[EUR/MWh]</t>
  </si>
  <si>
    <t>[Kč]</t>
  </si>
  <si>
    <t>Přepočet na Kč</t>
  </si>
  <si>
    <t>Kalkulace nákladů na výstavbu sloupku řízení</t>
  </si>
  <si>
    <t>Výpočet hodinové nákladové sazby stroje</t>
  </si>
  <si>
    <t>Celkové náklady</t>
  </si>
  <si>
    <t>Vzorec</t>
  </si>
  <si>
    <t>Korigovaný průměr plochy</t>
  </si>
  <si>
    <t>Náklady na inertní atmosféru</t>
  </si>
  <si>
    <t>Náklady na energii</t>
  </si>
  <si>
    <t>Průměrný počet zakázek týdně (53 týdnů)</t>
  </si>
  <si>
    <t>[EUR/rok·m2]</t>
  </si>
  <si>
    <r>
      <t>k</t>
    </r>
    <r>
      <rPr>
        <vertAlign val="subscript"/>
        <sz val="11"/>
        <color theme="1"/>
        <rFont val="Times New Roman"/>
        <family val="1"/>
        <charset val="238"/>
      </rPr>
      <t>r</t>
    </r>
  </si>
  <si>
    <r>
      <t>Náklady na plochu</t>
    </r>
    <r>
      <rPr>
        <sz val="10"/>
        <color theme="1"/>
        <rFont val="Times New Roman"/>
        <family val="1"/>
        <charset val="238"/>
      </rPr>
      <t xml:space="preserve"> (odpisy budov, ostraha, údržba, …)</t>
    </r>
  </si>
  <si>
    <t>Parametry stroje/pracoviště</t>
  </si>
  <si>
    <t>Tloušťka vrstvy [mm]</t>
  </si>
  <si>
    <t>Celkové náklady [EUR]</t>
  </si>
  <si>
    <t>Celkový čas [hod]</t>
  </si>
  <si>
    <t>Kapacita [hod]</t>
  </si>
  <si>
    <t>Vytížení týdně [hod]</t>
  </si>
  <si>
    <t>Citlivostní analýza - Náklady a čas výroby v závislosti na tloušťce vrstvy</t>
  </si>
  <si>
    <t>Citlivostní analýza -  Náklady v závislosti na kapacitě</t>
  </si>
  <si>
    <t>Kalkulační model nákladů na fázi výstavby</t>
  </si>
  <si>
    <t>Parametry závěsu sloupku řízení formule CTU CarTech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</si>
</sst>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3" fontId="1" fillId="2" borderId="6" xfId="0" applyNumberFormat="1" applyFont="1" applyFill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2" fontId="1" fillId="2" borderId="3" xfId="0" applyNumberFormat="1" applyFont="1" applyFill="1" applyBorder="1"/>
    <xf numFmtId="0" fontId="1" fillId="0" borderId="7" xfId="0" applyFont="1" applyBorder="1" applyAlignment="1">
      <alignment horizontal="left" vertical="center" indent="2"/>
    </xf>
    <xf numFmtId="3" fontId="1" fillId="2" borderId="9" xfId="0" applyNumberFormat="1" applyFont="1" applyFill="1" applyBorder="1" applyAlignment="1">
      <alignment vertic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3" fontId="1" fillId="2" borderId="18" xfId="0" applyNumberFormat="1" applyFont="1" applyFill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3" fontId="1" fillId="2" borderId="9" xfId="0" applyNumberFormat="1" applyFont="1" applyFill="1" applyBorder="1"/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3" fontId="1" fillId="2" borderId="12" xfId="0" applyNumberFormat="1" applyFont="1" applyFill="1" applyBorder="1" applyAlignment="1">
      <alignment vertic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2" fontId="1" fillId="2" borderId="12" xfId="0" applyNumberFormat="1" applyFont="1" applyFill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2" fontId="1" fillId="2" borderId="9" xfId="0" applyNumberFormat="1" applyFont="1" applyFill="1" applyBorder="1"/>
    <xf numFmtId="0" fontId="1" fillId="0" borderId="7" xfId="0" applyFont="1" applyBorder="1" applyAlignment="1">
      <alignment horizontal="left"/>
    </xf>
    <xf numFmtId="0" fontId="1" fillId="2" borderId="8" xfId="0" applyFont="1" applyFill="1" applyBorder="1" applyAlignment="1">
      <alignment horizontal="right"/>
    </xf>
    <xf numFmtId="4" fontId="1" fillId="2" borderId="8" xfId="0" applyNumberFormat="1" applyFont="1" applyFill="1" applyBorder="1"/>
    <xf numFmtId="4" fontId="1" fillId="2" borderId="8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left" wrapText="1"/>
    </xf>
    <xf numFmtId="4" fontId="1" fillId="2" borderId="11" xfId="0" applyNumberFormat="1" applyFont="1" applyFill="1" applyBorder="1" applyAlignment="1">
      <alignment horizontal="right"/>
    </xf>
    <xf numFmtId="0" fontId="1" fillId="2" borderId="9" xfId="0" applyFont="1" applyFill="1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4" fontId="1" fillId="2" borderId="18" xfId="0" applyNumberFormat="1" applyFont="1" applyFill="1" applyBorder="1"/>
    <xf numFmtId="0" fontId="1" fillId="0" borderId="7" xfId="0" applyFont="1" applyBorder="1" applyAlignment="1">
      <alignment vertical="center"/>
    </xf>
    <xf numFmtId="0" fontId="1" fillId="2" borderId="9" xfId="0" applyFont="1" applyFill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1" fillId="2" borderId="18" xfId="0" applyFont="1" applyFill="1" applyBorder="1"/>
    <xf numFmtId="0" fontId="1" fillId="2" borderId="12" xfId="0" applyFont="1" applyFill="1" applyBorder="1" applyAlignment="1">
      <alignment vertic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0" xfId="0" applyFont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3" fontId="2" fillId="2" borderId="12" xfId="0" applyNumberFormat="1" applyFont="1" applyFill="1" applyBorder="1"/>
    <xf numFmtId="0" fontId="1" fillId="2" borderId="6" xfId="0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 indent="2"/>
    </xf>
    <xf numFmtId="0" fontId="1" fillId="0" borderId="9" xfId="0" applyFont="1" applyBorder="1"/>
    <xf numFmtId="0" fontId="1" fillId="0" borderId="7" xfId="0" applyFont="1" applyBorder="1" applyAlignment="1">
      <alignment horizontal="left" indent="2"/>
    </xf>
    <xf numFmtId="0" fontId="1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indent="2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horizontal="left" vertical="center" indent="2"/>
    </xf>
    <xf numFmtId="0" fontId="5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3" fontId="1" fillId="2" borderId="9" xfId="0" applyNumberFormat="1" applyFont="1" applyFill="1" applyBorder="1" applyAlignment="1">
      <alignment horizontal="right" vertical="center"/>
    </xf>
    <xf numFmtId="164" fontId="2" fillId="2" borderId="18" xfId="0" applyNumberFormat="1" applyFont="1" applyFill="1" applyBorder="1"/>
    <xf numFmtId="0" fontId="1" fillId="0" borderId="1" xfId="0" applyFont="1" applyBorder="1" applyAlignment="1">
      <alignment horizontal="right"/>
    </xf>
    <xf numFmtId="165" fontId="1" fillId="0" borderId="30" xfId="0" applyNumberFormat="1" applyFont="1" applyBorder="1" applyAlignment="1">
      <alignment horizontal="right"/>
    </xf>
    <xf numFmtId="165" fontId="1" fillId="0" borderId="31" xfId="0" applyNumberFormat="1" applyFont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" fontId="1" fillId="0" borderId="29" xfId="0" applyNumberFormat="1" applyFont="1" applyBorder="1" applyAlignment="1">
      <alignment horizontal="right"/>
    </xf>
    <xf numFmtId="1" fontId="1" fillId="0" borderId="30" xfId="0" applyNumberFormat="1" applyFont="1" applyBorder="1" applyAlignment="1">
      <alignment horizontal="right"/>
    </xf>
    <xf numFmtId="1" fontId="1" fillId="0" borderId="31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27" xfId="0" applyNumberFormat="1" applyFont="1" applyBorder="1" applyAlignment="1">
      <alignment horizontal="right"/>
    </xf>
    <xf numFmtId="3" fontId="1" fillId="0" borderId="28" xfId="0" applyNumberFormat="1" applyFont="1" applyBorder="1" applyAlignment="1">
      <alignment horizontal="right"/>
    </xf>
    <xf numFmtId="3" fontId="1" fillId="2" borderId="29" xfId="0" applyNumberFormat="1" applyFont="1" applyFill="1" applyBorder="1" applyAlignment="1">
      <alignment horizontal="right"/>
    </xf>
    <xf numFmtId="3" fontId="1" fillId="0" borderId="30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3" fontId="1" fillId="2" borderId="32" xfId="0" applyNumberFormat="1" applyFont="1" applyFill="1" applyBorder="1"/>
    <xf numFmtId="3" fontId="1" fillId="0" borderId="1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1" fontId="1" fillId="2" borderId="29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Náklady a čas na výrobu sloupku řízení v závislosti na tloušťce vrstvy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Náklady na výrobu [EUR]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Kalkulace!$K$5:$K$20</c:f>
              <c:numCache>
                <c:formatCode>0.000</c:formatCode>
                <c:ptCount val="16"/>
                <c:pt idx="0">
                  <c:v>0.03</c:v>
                </c:pt>
                <c:pt idx="1">
                  <c:v>3.1E-2</c:v>
                </c:pt>
                <c:pt idx="2">
                  <c:v>3.2000000000000001E-2</c:v>
                </c:pt>
                <c:pt idx="3">
                  <c:v>3.3000000000000002E-2</c:v>
                </c:pt>
                <c:pt idx="4">
                  <c:v>3.4000000000000002E-2</c:v>
                </c:pt>
                <c:pt idx="5">
                  <c:v>3.5000000000000003E-2</c:v>
                </c:pt>
                <c:pt idx="6">
                  <c:v>3.5999999999999997E-2</c:v>
                </c:pt>
                <c:pt idx="7">
                  <c:v>3.6999999999999998E-2</c:v>
                </c:pt>
                <c:pt idx="8">
                  <c:v>3.7999999999999999E-2</c:v>
                </c:pt>
                <c:pt idx="9">
                  <c:v>3.9E-2</c:v>
                </c:pt>
                <c:pt idx="10">
                  <c:v>0.04</c:v>
                </c:pt>
                <c:pt idx="11">
                  <c:v>4.1000000000000002E-2</c:v>
                </c:pt>
                <c:pt idx="12">
                  <c:v>4.2000000000000003E-2</c:v>
                </c:pt>
                <c:pt idx="13">
                  <c:v>4.2999999999999997E-2</c:v>
                </c:pt>
                <c:pt idx="14">
                  <c:v>4.3999999999999997E-2</c:v>
                </c:pt>
                <c:pt idx="15">
                  <c:v>4.4999999999999998E-2</c:v>
                </c:pt>
              </c:numCache>
            </c:numRef>
          </c:cat>
          <c:val>
            <c:numRef>
              <c:f>Kalkulace!$N$5:$N$20</c:f>
              <c:numCache>
                <c:formatCode>#,##0</c:formatCode>
                <c:ptCount val="16"/>
                <c:pt idx="0">
                  <c:v>1396.135722426553</c:v>
                </c:pt>
                <c:pt idx="1">
                  <c:v>1354.7313892955599</c:v>
                </c:pt>
                <c:pt idx="2">
                  <c:v>1315.9148269852537</c:v>
                </c:pt>
                <c:pt idx="3">
                  <c:v>1279.4507836028449</c:v>
                </c:pt>
                <c:pt idx="4">
                  <c:v>1245.1316839488131</c:v>
                </c:pt>
                <c:pt idx="5">
                  <c:v>1212.7736757035836</c:v>
                </c:pt>
                <c:pt idx="6">
                  <c:v>1182.2133345830889</c:v>
                </c:pt>
                <c:pt idx="7">
                  <c:v>1153.3049037934315</c:v>
                </c:pt>
                <c:pt idx="8">
                  <c:v>1125.9179693611245</c:v>
                </c:pt>
                <c:pt idx="9">
                  <c:v>1099.9354931048333</c:v>
                </c:pt>
                <c:pt idx="10">
                  <c:v>1075.2521406613569</c:v>
                </c:pt>
                <c:pt idx="11">
                  <c:v>1051.7728541907325</c:v>
                </c:pt>
                <c:pt idx="12">
                  <c:v>1029.4116289806145</c:v>
                </c:pt>
                <c:pt idx="13">
                  <c:v>1008.0904607570133</c:v>
                </c:pt>
                <c:pt idx="14">
                  <c:v>987.73843654357597</c:v>
                </c:pt>
                <c:pt idx="15">
                  <c:v>968.29094673962459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C-467E-BC84-C1F6B260D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4"/>
        <c:axId val="154342880"/>
        <c:axId val="154348760"/>
      </c:barChart>
      <c:lineChart>
        <c:grouping val="stacked"/>
        <c:varyColors val="0"/>
        <c:ser>
          <c:idx val="1"/>
          <c:order val="1"/>
          <c:tx>
            <c:v>Celkový čas výroby [hod]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Kalkulace!$L$5:$L$20</c:f>
              <c:numCache>
                <c:formatCode>0</c:formatCode>
                <c:ptCount val="16"/>
                <c:pt idx="0">
                  <c:v>26.372589992813634</c:v>
                </c:pt>
                <c:pt idx="1">
                  <c:v>25.562183864013193</c:v>
                </c:pt>
                <c:pt idx="2">
                  <c:v>24.802428118262782</c:v>
                </c:pt>
                <c:pt idx="3">
                  <c:v>24.088718175285116</c:v>
                </c:pt>
                <c:pt idx="4">
                  <c:v>23.41699117012967</c:v>
                </c:pt>
                <c:pt idx="5">
                  <c:v>22.783648565268827</c:v>
                </c:pt>
                <c:pt idx="6">
                  <c:v>22.185491660678029</c:v>
                </c:pt>
                <c:pt idx="7">
                  <c:v>21.619667561740783</c:v>
                </c:pt>
                <c:pt idx="8">
                  <c:v>21.08362367853708</c:v>
                </c:pt>
                <c:pt idx="9">
                  <c:v>20.575069225241258</c:v>
                </c:pt>
                <c:pt idx="10">
                  <c:v>20.091942494610226</c:v>
                </c:pt>
                <c:pt idx="11">
                  <c:v>19.632382921570947</c:v>
                </c:pt>
                <c:pt idx="12">
                  <c:v>19.194707137724023</c:v>
                </c:pt>
                <c:pt idx="13">
                  <c:v>18.777388367079279</c:v>
                </c:pt>
                <c:pt idx="14">
                  <c:v>18.379038631463843</c:v>
                </c:pt>
                <c:pt idx="15">
                  <c:v>17.998393328542424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EC-467E-BC84-C1F6B260D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77192"/>
        <c:axId val="325876408"/>
      </c:lineChart>
      <c:catAx>
        <c:axId val="154342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Tloušťka vrstvy [mm]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4348760"/>
        <c:crosses val="autoZero"/>
        <c:auto val="1"/>
        <c:lblAlgn val="ctr"/>
        <c:lblOffset val="100"/>
        <c:noMultiLvlLbl val="0"/>
      </c:catAx>
      <c:valAx>
        <c:axId val="154348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Náklady na výrobu [EUR]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4342880"/>
        <c:crosses val="autoZero"/>
        <c:crossBetween val="between"/>
      </c:valAx>
      <c:valAx>
        <c:axId val="325876408"/>
        <c:scaling>
          <c:orientation val="minMax"/>
          <c:max val="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Celkový čas výroby</a:t>
                </a:r>
                <a:r>
                  <a:rPr lang="cs-CZ"/>
                  <a:t> </a:t>
                </a:r>
                <a:r>
                  <a:rPr lang="cs-CZ" sz="1000" b="0" i="0" u="none" strike="noStrike" baseline="0">
                    <a:effectLst/>
                  </a:rPr>
                  <a:t>[hod] 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5877192"/>
        <c:crosses val="max"/>
        <c:crossBetween val="between"/>
      </c:valAx>
      <c:catAx>
        <c:axId val="325877192"/>
        <c:scaling>
          <c:orientation val="minMax"/>
        </c:scaling>
        <c:delete val="1"/>
        <c:axPos val="b"/>
        <c:majorTickMark val="out"/>
        <c:minorTickMark val="none"/>
        <c:tickLblPos val="nextTo"/>
        <c:crossAx val="325876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Náklady </a:t>
            </a:r>
            <a:r>
              <a:rPr lang="en-US"/>
              <a:t>na výrobu sloupku řízení v závislosti na reálně využité kapacitě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Kalkulace!$Q$5:$Q$17</c:f>
              <c:numCache>
                <c:formatCode>#,##0</c:formatCode>
                <c:ptCount val="13"/>
                <c:pt idx="0">
                  <c:v>2120</c:v>
                </c:pt>
                <c:pt idx="1">
                  <c:v>2385</c:v>
                </c:pt>
                <c:pt idx="2">
                  <c:v>2650</c:v>
                </c:pt>
                <c:pt idx="3">
                  <c:v>2915</c:v>
                </c:pt>
                <c:pt idx="4">
                  <c:v>3180</c:v>
                </c:pt>
                <c:pt idx="5">
                  <c:v>3445</c:v>
                </c:pt>
                <c:pt idx="6">
                  <c:v>3710</c:v>
                </c:pt>
                <c:pt idx="7">
                  <c:v>3975</c:v>
                </c:pt>
                <c:pt idx="8">
                  <c:v>4240</c:v>
                </c:pt>
                <c:pt idx="9">
                  <c:v>4505</c:v>
                </c:pt>
                <c:pt idx="10">
                  <c:v>4770</c:v>
                </c:pt>
                <c:pt idx="11">
                  <c:v>5035</c:v>
                </c:pt>
                <c:pt idx="12">
                  <c:v>5300</c:v>
                </c:pt>
              </c:numCache>
            </c:numRef>
          </c:cat>
          <c:val>
            <c:numRef>
              <c:f>Kalkulace!$R$5:$R$17</c:f>
              <c:numCache>
                <c:formatCode>#,##0</c:formatCode>
                <c:ptCount val="13"/>
                <c:pt idx="0">
                  <c:v>1047.3564200053547</c:v>
                </c:pt>
                <c:pt idx="1">
                  <c:v>950.72084156946232</c:v>
                </c:pt>
                <c:pt idx="2">
                  <c:v>873.41237882074859</c:v>
                </c:pt>
                <c:pt idx="3">
                  <c:v>810.16000020816455</c:v>
                </c:pt>
                <c:pt idx="4">
                  <c:v>757.44968469767787</c:v>
                </c:pt>
                <c:pt idx="5">
                  <c:v>712.84864849649693</c:v>
                </c:pt>
                <c:pt idx="6">
                  <c:v>674.61918889548463</c:v>
                </c:pt>
                <c:pt idx="7">
                  <c:v>641.48699057460715</c:v>
                </c:pt>
                <c:pt idx="8">
                  <c:v>612.49631704383955</c:v>
                </c:pt>
                <c:pt idx="9">
                  <c:v>586.91631098727976</c:v>
                </c:pt>
                <c:pt idx="10">
                  <c:v>564.17852782589341</c:v>
                </c:pt>
                <c:pt idx="11">
                  <c:v>543.83419552360021</c:v>
                </c:pt>
                <c:pt idx="12">
                  <c:v>525.52429645153654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1-421B-9CBE-BBB161E36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343664"/>
        <c:axId val="154344056"/>
      </c:barChart>
      <c:catAx>
        <c:axId val="154343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Kapacita připadající na plánovaný objem zakázek [hod]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4344056"/>
        <c:crosses val="autoZero"/>
        <c:auto val="1"/>
        <c:lblAlgn val="ctr"/>
        <c:lblOffset val="100"/>
        <c:noMultiLvlLbl val="0"/>
      </c:catAx>
      <c:valAx>
        <c:axId val="154344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Náklady na výrobu</a:t>
                </a:r>
                <a:r>
                  <a:rPr lang="cs-CZ"/>
                  <a:t> </a:t>
                </a:r>
                <a:r>
                  <a:rPr lang="en-US">
                    <a:latin typeface="Calibri" panose="020F0502020204030204" pitchFamily="34" charset="0"/>
                  </a:rPr>
                  <a:t>[</a:t>
                </a:r>
                <a:r>
                  <a:rPr lang="cs-CZ">
                    <a:latin typeface="Calibri" panose="020F0502020204030204" pitchFamily="34" charset="0"/>
                  </a:rPr>
                  <a:t>EUR</a:t>
                </a:r>
                <a:r>
                  <a:rPr lang="en-US">
                    <a:latin typeface="Calibri" panose="020F0502020204030204" pitchFamily="34" charset="0"/>
                  </a:rPr>
                  <a:t>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434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21</xdr:row>
      <xdr:rowOff>95250</xdr:rowOff>
    </xdr:from>
    <xdr:to>
      <xdr:col>13</xdr:col>
      <xdr:colOff>1343025</xdr:colOff>
      <xdr:row>39</xdr:row>
      <xdr:rowOff>38100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A502622-F824-4EDE-84B5-24054F294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1457326</xdr:colOff>
      <xdr:row>21</xdr:row>
      <xdr:rowOff>95249</xdr:rowOff>
    </xdr:from>
    <xdr:to>
      <xdr:col>19</xdr:col>
      <xdr:colOff>152400</xdr:colOff>
      <xdr:row>39</xdr:row>
      <xdr:rowOff>57149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88E589B9-383B-4040-B2B0-8860D9907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7"/>
  <sheetViews>
    <sheetView tabSelected="1" workbookViewId="0">
      <selection activeCell="F38" sqref="F38"/>
    </sheetView>
  </sheetViews>
  <sheetFormatPr defaultColWidth="9.140625" defaultRowHeight="15" x14ac:dyDescent="0.25"/>
  <cols>
    <col min="1" max="1" width="1.42578125" style="1" customWidth="1"/>
    <col min="2" max="2" width="45.140625" style="1" bestFit="1" customWidth="1"/>
    <col min="3" max="3" width="13.42578125" style="2" bestFit="1" customWidth="1"/>
    <col min="4" max="4" width="9.42578125" style="1" bestFit="1" customWidth="1"/>
    <col min="5" max="5" width="4.28515625" style="1" customWidth="1"/>
    <col min="6" max="6" width="25.85546875" style="1" bestFit="1" customWidth="1"/>
    <col min="7" max="7" width="10.28515625" style="1" bestFit="1" customWidth="1"/>
    <col min="8" max="8" width="7.42578125" style="1" bestFit="1" customWidth="1"/>
    <col min="9" max="9" width="11.140625" style="1" bestFit="1" customWidth="1"/>
    <col min="10" max="10" width="9.140625" style="1"/>
    <col min="11" max="11" width="22" style="1" bestFit="1" customWidth="1"/>
    <col min="12" max="12" width="18.140625" style="1" bestFit="1" customWidth="1"/>
    <col min="13" max="13" width="22" style="1" bestFit="1" customWidth="1"/>
    <col min="14" max="14" width="23.7109375" style="1" bestFit="1" customWidth="1"/>
    <col min="15" max="15" width="9.140625" style="1"/>
    <col min="16" max="16" width="19.85546875" style="1" bestFit="1" customWidth="1"/>
    <col min="17" max="17" width="14.7109375" style="1" bestFit="1" customWidth="1"/>
    <col min="18" max="18" width="23.7109375" style="1" bestFit="1" customWidth="1"/>
    <col min="19" max="16384" width="9.140625" style="1"/>
  </cols>
  <sheetData>
    <row r="1" spans="2:18" ht="23.25" thickBot="1" x14ac:dyDescent="0.35">
      <c r="B1" s="99" t="s">
        <v>124</v>
      </c>
      <c r="C1" s="99"/>
      <c r="D1" s="99"/>
    </row>
    <row r="2" spans="2:18" ht="15.75" thickBot="1" x14ac:dyDescent="0.3">
      <c r="B2" s="103" t="s">
        <v>125</v>
      </c>
      <c r="C2" s="104"/>
      <c r="D2" s="105"/>
      <c r="F2" s="96" t="s">
        <v>105</v>
      </c>
      <c r="G2" s="97"/>
      <c r="H2" s="97"/>
      <c r="I2" s="98"/>
      <c r="K2" s="96" t="s">
        <v>122</v>
      </c>
      <c r="L2" s="97"/>
      <c r="M2" s="97"/>
      <c r="N2" s="98"/>
      <c r="P2" s="96" t="s">
        <v>123</v>
      </c>
      <c r="Q2" s="97"/>
      <c r="R2" s="97"/>
    </row>
    <row r="3" spans="2:18" ht="15.75" thickBot="1" x14ac:dyDescent="0.3">
      <c r="B3" s="3" t="s">
        <v>37</v>
      </c>
      <c r="C3" s="4" t="s">
        <v>1</v>
      </c>
      <c r="D3" s="5" t="s">
        <v>2</v>
      </c>
      <c r="F3" s="6" t="s">
        <v>62</v>
      </c>
      <c r="G3" s="7" t="s">
        <v>69</v>
      </c>
      <c r="H3" s="7" t="s">
        <v>108</v>
      </c>
      <c r="I3" s="8" t="s">
        <v>2</v>
      </c>
      <c r="K3" s="6" t="s">
        <v>117</v>
      </c>
      <c r="L3" s="7" t="s">
        <v>119</v>
      </c>
      <c r="M3" s="7" t="s">
        <v>117</v>
      </c>
      <c r="N3" s="8" t="s">
        <v>118</v>
      </c>
      <c r="P3" s="6" t="s">
        <v>121</v>
      </c>
      <c r="Q3" s="6" t="s">
        <v>120</v>
      </c>
      <c r="R3" s="8" t="s">
        <v>118</v>
      </c>
    </row>
    <row r="4" spans="2:18" ht="15.75" thickBot="1" x14ac:dyDescent="0.3">
      <c r="B4" s="9" t="s">
        <v>38</v>
      </c>
      <c r="C4" s="10" t="s">
        <v>39</v>
      </c>
      <c r="D4" s="11">
        <v>128716</v>
      </c>
      <c r="F4" s="109" t="s">
        <v>83</v>
      </c>
      <c r="G4" s="110"/>
      <c r="H4" s="110"/>
      <c r="I4" s="111"/>
      <c r="K4" s="81" t="s">
        <v>108</v>
      </c>
      <c r="L4" s="95">
        <f>I13+I17+I18</f>
        <v>17.998393328542424</v>
      </c>
      <c r="M4" s="81" t="s">
        <v>108</v>
      </c>
      <c r="N4" s="88">
        <f>I5+I21+I27+I30</f>
        <v>968.29094673962459</v>
      </c>
      <c r="P4" s="77"/>
      <c r="Q4" s="80" t="s">
        <v>108</v>
      </c>
      <c r="R4" s="91">
        <f>I5+I21+I27+I30</f>
        <v>968.29094673962459</v>
      </c>
    </row>
    <row r="5" spans="2:18" ht="15.75" thickBot="1" x14ac:dyDescent="0.3">
      <c r="B5" s="12" t="s">
        <v>40</v>
      </c>
      <c r="C5" s="13"/>
      <c r="D5" s="14"/>
      <c r="F5" s="15" t="s">
        <v>63</v>
      </c>
      <c r="G5" s="16" t="s">
        <v>70</v>
      </c>
      <c r="H5" s="16">
        <v>3</v>
      </c>
      <c r="I5" s="17">
        <f>D4/1000*D15*D16/1000*(1+D10/100)*D17</f>
        <v>37.8038892</v>
      </c>
      <c r="K5" s="78">
        <v>0.03</v>
      </c>
      <c r="L5" s="83">
        <f t="dataTable" ref="L5:L20" dt2D="0" dtr="0" r1="D47" ca="1"/>
        <v>26.372589992813634</v>
      </c>
      <c r="M5" s="78">
        <v>0.03</v>
      </c>
      <c r="N5" s="89">
        <f t="dataTable" ref="N5:N20" dt2D="0" dtr="0" r1="D47"/>
        <v>1396.135722426553</v>
      </c>
      <c r="P5" s="82">
        <v>40</v>
      </c>
      <c r="Q5" s="85">
        <f>53*P5</f>
        <v>2120</v>
      </c>
      <c r="R5" s="92">
        <f t="dataTable" ref="R5:R20" dt2D="0" dtr="0" r1="I7" ca="1"/>
        <v>1047.3564200053547</v>
      </c>
    </row>
    <row r="6" spans="2:18" ht="15.75" thickBot="1" x14ac:dyDescent="0.3">
      <c r="B6" s="18" t="s">
        <v>4</v>
      </c>
      <c r="C6" s="13" t="s">
        <v>5</v>
      </c>
      <c r="D6" s="19">
        <v>130</v>
      </c>
      <c r="F6" s="109" t="s">
        <v>106</v>
      </c>
      <c r="G6" s="110"/>
      <c r="H6" s="110"/>
      <c r="I6" s="111"/>
      <c r="K6" s="78">
        <v>3.1E-2</v>
      </c>
      <c r="L6" s="83">
        <v>25.562183864013193</v>
      </c>
      <c r="M6" s="78">
        <v>3.1E-2</v>
      </c>
      <c r="N6" s="89">
        <v>1354.7313892955599</v>
      </c>
      <c r="P6" s="83">
        <v>45</v>
      </c>
      <c r="Q6" s="86">
        <f t="shared" ref="Q6:Q20" si="0">53*P6</f>
        <v>2385</v>
      </c>
      <c r="R6" s="93">
        <v>950.72084156946232</v>
      </c>
    </row>
    <row r="7" spans="2:18" x14ac:dyDescent="0.25">
      <c r="B7" s="18" t="s">
        <v>6</v>
      </c>
      <c r="C7" s="13" t="s">
        <v>5</v>
      </c>
      <c r="D7" s="19">
        <v>135</v>
      </c>
      <c r="F7" s="20" t="s">
        <v>67</v>
      </c>
      <c r="G7" s="21" t="s">
        <v>20</v>
      </c>
      <c r="H7" s="21">
        <v>7</v>
      </c>
      <c r="I7" s="22">
        <f>53*D27*D28</f>
        <v>2332</v>
      </c>
      <c r="K7" s="78">
        <v>3.2000000000000001E-2</v>
      </c>
      <c r="L7" s="83">
        <v>24.802428118262782</v>
      </c>
      <c r="M7" s="78">
        <v>3.2000000000000001E-2</v>
      </c>
      <c r="N7" s="89">
        <v>1315.9148269852537</v>
      </c>
      <c r="P7" s="83">
        <v>50</v>
      </c>
      <c r="Q7" s="86">
        <f t="shared" si="0"/>
        <v>2650</v>
      </c>
      <c r="R7" s="93">
        <v>873.41237882074859</v>
      </c>
    </row>
    <row r="8" spans="2:18" x14ac:dyDescent="0.25">
      <c r="B8" s="18" t="s">
        <v>7</v>
      </c>
      <c r="C8" s="13" t="s">
        <v>5</v>
      </c>
      <c r="D8" s="19">
        <v>240</v>
      </c>
      <c r="F8" s="23" t="s">
        <v>65</v>
      </c>
      <c r="G8" s="24" t="s">
        <v>70</v>
      </c>
      <c r="H8" s="24">
        <v>6</v>
      </c>
      <c r="I8" s="25">
        <f>D25*1000/D26</f>
        <v>77142.857142857145</v>
      </c>
      <c r="K8" s="78">
        <v>3.3000000000000002E-2</v>
      </c>
      <c r="L8" s="83">
        <v>24.088718175285116</v>
      </c>
      <c r="M8" s="78">
        <v>3.3000000000000002E-2</v>
      </c>
      <c r="N8" s="89">
        <v>1279.4507836028449</v>
      </c>
      <c r="P8" s="83">
        <v>55</v>
      </c>
      <c r="Q8" s="86">
        <f t="shared" si="0"/>
        <v>2915</v>
      </c>
      <c r="R8" s="93">
        <v>810.16000020816455</v>
      </c>
    </row>
    <row r="9" spans="2:18" x14ac:dyDescent="0.25">
      <c r="B9" s="12" t="s">
        <v>41</v>
      </c>
      <c r="C9" s="13" t="s">
        <v>5</v>
      </c>
      <c r="D9" s="19">
        <v>120</v>
      </c>
      <c r="F9" s="23" t="s">
        <v>66</v>
      </c>
      <c r="G9" s="24" t="s">
        <v>70</v>
      </c>
      <c r="H9" s="24"/>
      <c r="I9" s="25">
        <f>D29*D30+D33+D36/D35*I7+D39/(20*22)*I7</f>
        <v>41412</v>
      </c>
      <c r="K9" s="78">
        <v>3.4000000000000002E-2</v>
      </c>
      <c r="L9" s="83">
        <v>23.41699117012967</v>
      </c>
      <c r="M9" s="78">
        <v>3.4000000000000002E-2</v>
      </c>
      <c r="N9" s="89">
        <v>1245.1316839488131</v>
      </c>
      <c r="P9" s="83">
        <v>60</v>
      </c>
      <c r="Q9" s="86">
        <f t="shared" si="0"/>
        <v>3180</v>
      </c>
      <c r="R9" s="93">
        <v>757.44968469767787</v>
      </c>
    </row>
    <row r="10" spans="2:18" ht="15.75" thickBot="1" x14ac:dyDescent="0.3">
      <c r="B10" s="26" t="s">
        <v>42</v>
      </c>
      <c r="C10" s="27" t="s">
        <v>43</v>
      </c>
      <c r="D10" s="28">
        <v>10</v>
      </c>
      <c r="F10" s="29" t="s">
        <v>88</v>
      </c>
      <c r="G10" s="30" t="s">
        <v>71</v>
      </c>
      <c r="H10" s="30">
        <v>5</v>
      </c>
      <c r="I10" s="31">
        <f>(I8+I9)/I7</f>
        <v>50.838274932614553</v>
      </c>
      <c r="K10" s="78">
        <v>3.5000000000000003E-2</v>
      </c>
      <c r="L10" s="83">
        <v>22.783648565268827</v>
      </c>
      <c r="M10" s="78">
        <v>3.5000000000000003E-2</v>
      </c>
      <c r="N10" s="89">
        <v>1212.7736757035836</v>
      </c>
      <c r="P10" s="83">
        <v>65</v>
      </c>
      <c r="Q10" s="86">
        <f t="shared" si="0"/>
        <v>3445</v>
      </c>
      <c r="R10" s="93">
        <v>712.84864849649693</v>
      </c>
    </row>
    <row r="11" spans="2:18" ht="15.75" thickBot="1" x14ac:dyDescent="0.3">
      <c r="C11" s="1"/>
      <c r="F11" s="109" t="s">
        <v>72</v>
      </c>
      <c r="G11" s="110"/>
      <c r="H11" s="110"/>
      <c r="I11" s="111"/>
      <c r="K11" s="78">
        <v>3.5999999999999997E-2</v>
      </c>
      <c r="L11" s="83">
        <v>22.185491660678029</v>
      </c>
      <c r="M11" s="78">
        <v>3.5999999999999997E-2</v>
      </c>
      <c r="N11" s="89">
        <v>1182.2133345830889</v>
      </c>
      <c r="P11" s="83">
        <v>70</v>
      </c>
      <c r="Q11" s="86">
        <f t="shared" si="0"/>
        <v>3710</v>
      </c>
      <c r="R11" s="93">
        <v>674.61918889548463</v>
      </c>
    </row>
    <row r="12" spans="2:18" ht="15.75" thickBot="1" x14ac:dyDescent="0.3">
      <c r="B12" s="106" t="s">
        <v>44</v>
      </c>
      <c r="C12" s="107"/>
      <c r="D12" s="108"/>
      <c r="F12" s="20" t="s">
        <v>74</v>
      </c>
      <c r="G12" s="21" t="s">
        <v>15</v>
      </c>
      <c r="H12" s="21">
        <v>15</v>
      </c>
      <c r="I12" s="22">
        <f>D8/D47</f>
        <v>5333.3333333333339</v>
      </c>
      <c r="K12" s="78">
        <v>3.6999999999999998E-2</v>
      </c>
      <c r="L12" s="83">
        <v>21.619667561740783</v>
      </c>
      <c r="M12" s="78">
        <v>3.6999999999999998E-2</v>
      </c>
      <c r="N12" s="89">
        <v>1153.3049037934315</v>
      </c>
      <c r="P12" s="83">
        <v>75</v>
      </c>
      <c r="Q12" s="86">
        <f t="shared" si="0"/>
        <v>3975</v>
      </c>
      <c r="R12" s="93">
        <v>641.48699057460715</v>
      </c>
    </row>
    <row r="13" spans="2:18" x14ac:dyDescent="0.25">
      <c r="B13" s="32" t="s">
        <v>37</v>
      </c>
      <c r="C13" s="33" t="s">
        <v>1</v>
      </c>
      <c r="D13" s="34" t="s">
        <v>2</v>
      </c>
      <c r="F13" s="23" t="s">
        <v>73</v>
      </c>
      <c r="G13" s="24" t="s">
        <v>20</v>
      </c>
      <c r="H13" s="24">
        <v>15</v>
      </c>
      <c r="I13" s="35">
        <f>I12*D53/3600</f>
        <v>11.851851851851853</v>
      </c>
      <c r="K13" s="78">
        <v>3.7999999999999999E-2</v>
      </c>
      <c r="L13" s="83">
        <v>21.08362367853708</v>
      </c>
      <c r="M13" s="78">
        <v>3.7999999999999999E-2</v>
      </c>
      <c r="N13" s="89">
        <v>1125.9179693611245</v>
      </c>
      <c r="P13" s="83">
        <v>80</v>
      </c>
      <c r="Q13" s="86">
        <f t="shared" si="0"/>
        <v>4240</v>
      </c>
      <c r="R13" s="93">
        <v>612.49631704383955</v>
      </c>
    </row>
    <row r="14" spans="2:18" x14ac:dyDescent="0.25">
      <c r="B14" s="36" t="s">
        <v>45</v>
      </c>
      <c r="C14" s="24" t="s">
        <v>15</v>
      </c>
      <c r="D14" s="37" t="s">
        <v>46</v>
      </c>
      <c r="F14" s="23" t="s">
        <v>109</v>
      </c>
      <c r="G14" s="24" t="s">
        <v>75</v>
      </c>
      <c r="H14" s="24">
        <v>16</v>
      </c>
      <c r="I14" s="25">
        <f>(D4/(D6*D7*D8)*EXP(1.5*(1-D4/(D6*D7*D8))))*D6*D7</f>
        <v>2295.912739562973</v>
      </c>
      <c r="K14" s="78">
        <v>3.9E-2</v>
      </c>
      <c r="L14" s="83">
        <v>20.575069225241258</v>
      </c>
      <c r="M14" s="78">
        <v>3.9E-2</v>
      </c>
      <c r="N14" s="89">
        <v>1099.9354931048333</v>
      </c>
      <c r="P14" s="83">
        <v>85</v>
      </c>
      <c r="Q14" s="86">
        <f t="shared" si="0"/>
        <v>4505</v>
      </c>
      <c r="R14" s="93">
        <v>586.91631098727976</v>
      </c>
    </row>
    <row r="15" spans="2:18" x14ac:dyDescent="0.25">
      <c r="B15" s="36" t="s">
        <v>47</v>
      </c>
      <c r="C15" s="24" t="s">
        <v>48</v>
      </c>
      <c r="D15" s="38">
        <v>2.67</v>
      </c>
      <c r="F15" s="23" t="s">
        <v>76</v>
      </c>
      <c r="G15" s="24" t="s">
        <v>5</v>
      </c>
      <c r="H15" s="24">
        <v>17</v>
      </c>
      <c r="I15" s="25">
        <f>I14*(D48*I12/(D44*D43)+(D10/100)*D9/D47/D43)</f>
        <v>120699412.59416774</v>
      </c>
      <c r="K15" s="78">
        <v>0.04</v>
      </c>
      <c r="L15" s="83">
        <v>20.091942494610226</v>
      </c>
      <c r="M15" s="78">
        <v>0.04</v>
      </c>
      <c r="N15" s="89">
        <v>1075.2521406613569</v>
      </c>
      <c r="P15" s="83">
        <v>90</v>
      </c>
      <c r="Q15" s="86">
        <f t="shared" si="0"/>
        <v>4770</v>
      </c>
      <c r="R15" s="93">
        <v>564.17852782589341</v>
      </c>
    </row>
    <row r="16" spans="2:18" x14ac:dyDescent="0.25">
      <c r="B16" s="36" t="s">
        <v>49</v>
      </c>
      <c r="C16" s="24" t="s">
        <v>50</v>
      </c>
      <c r="D16" s="39">
        <v>100</v>
      </c>
      <c r="F16" s="23" t="s">
        <v>77</v>
      </c>
      <c r="G16" s="24" t="s">
        <v>78</v>
      </c>
      <c r="H16" s="24">
        <v>18</v>
      </c>
      <c r="I16" s="25">
        <f>D45*D4/(D6*D7*D8)+D46*(1-D4/(D6*D7*D8))</f>
        <v>6847.2032288698956</v>
      </c>
      <c r="K16" s="78">
        <v>4.1000000000000002E-2</v>
      </c>
      <c r="L16" s="83">
        <v>19.632382921570947</v>
      </c>
      <c r="M16" s="78">
        <v>4.1000000000000002E-2</v>
      </c>
      <c r="N16" s="89">
        <v>1051.7728541907325</v>
      </c>
      <c r="P16" s="83">
        <v>95</v>
      </c>
      <c r="Q16" s="86">
        <f t="shared" si="0"/>
        <v>5035</v>
      </c>
      <c r="R16" s="93">
        <v>543.83419552360021</v>
      </c>
    </row>
    <row r="17" spans="2:18" ht="17.25" thickBot="1" x14ac:dyDescent="0.35">
      <c r="B17" s="40" t="s">
        <v>114</v>
      </c>
      <c r="C17" s="30" t="s">
        <v>15</v>
      </c>
      <c r="D17" s="41">
        <v>1</v>
      </c>
      <c r="F17" s="23" t="s">
        <v>79</v>
      </c>
      <c r="G17" s="24" t="s">
        <v>20</v>
      </c>
      <c r="H17" s="24">
        <v>19</v>
      </c>
      <c r="I17" s="35">
        <f>1*I15/(3600*I16)</f>
        <v>4.8965414766905706</v>
      </c>
      <c r="K17" s="78">
        <v>4.2000000000000003E-2</v>
      </c>
      <c r="L17" s="83">
        <v>19.194707137724023</v>
      </c>
      <c r="M17" s="78">
        <v>4.2000000000000003E-2</v>
      </c>
      <c r="N17" s="89">
        <v>1029.4116289806145</v>
      </c>
      <c r="P17" s="83">
        <v>100</v>
      </c>
      <c r="Q17" s="86">
        <f t="shared" si="0"/>
        <v>5300</v>
      </c>
      <c r="R17" s="93">
        <v>525.52429645153654</v>
      </c>
    </row>
    <row r="18" spans="2:18" ht="15.75" thickBot="1" x14ac:dyDescent="0.3">
      <c r="F18" s="23" t="s">
        <v>81</v>
      </c>
      <c r="G18" s="24" t="s">
        <v>20</v>
      </c>
      <c r="H18" s="24">
        <v>20</v>
      </c>
      <c r="I18" s="42">
        <f>D51+D52+D54</f>
        <v>1.25</v>
      </c>
      <c r="K18" s="78">
        <v>4.2999999999999997E-2</v>
      </c>
      <c r="L18" s="83">
        <v>18.777388367079279</v>
      </c>
      <c r="M18" s="78">
        <v>4.2999999999999997E-2</v>
      </c>
      <c r="N18" s="89">
        <v>1008.0904607570133</v>
      </c>
      <c r="P18" s="83">
        <v>105</v>
      </c>
      <c r="Q18" s="86">
        <f t="shared" si="0"/>
        <v>5565</v>
      </c>
      <c r="R18" s="93">
        <v>508.95819729109792</v>
      </c>
    </row>
    <row r="19" spans="2:18" ht="15.75" thickBot="1" x14ac:dyDescent="0.3">
      <c r="B19" s="100" t="s">
        <v>116</v>
      </c>
      <c r="C19" s="101"/>
      <c r="D19" s="102"/>
      <c r="F19" s="29" t="s">
        <v>80</v>
      </c>
      <c r="G19" s="30" t="s">
        <v>20</v>
      </c>
      <c r="H19" s="30">
        <v>14</v>
      </c>
      <c r="I19" s="31">
        <f>I13+I17+I18</f>
        <v>17.998393328542424</v>
      </c>
      <c r="K19" s="78">
        <v>4.3999999999999997E-2</v>
      </c>
      <c r="L19" s="83">
        <v>18.379038631463843</v>
      </c>
      <c r="M19" s="78">
        <v>4.3999999999999997E-2</v>
      </c>
      <c r="N19" s="89">
        <v>987.73843654357597</v>
      </c>
      <c r="P19" s="83">
        <v>110</v>
      </c>
      <c r="Q19" s="86">
        <f t="shared" si="0"/>
        <v>5830</v>
      </c>
      <c r="R19" s="93">
        <v>493.89810714524469</v>
      </c>
    </row>
    <row r="20" spans="2:18" ht="15.75" thickBot="1" x14ac:dyDescent="0.3">
      <c r="B20" s="6" t="s">
        <v>0</v>
      </c>
      <c r="C20" s="7" t="s">
        <v>1</v>
      </c>
      <c r="D20" s="8" t="s">
        <v>2</v>
      </c>
      <c r="F20" s="109" t="s">
        <v>82</v>
      </c>
      <c r="G20" s="110"/>
      <c r="H20" s="110"/>
      <c r="I20" s="111"/>
      <c r="K20" s="79">
        <v>4.4999999999999998E-2</v>
      </c>
      <c r="L20" s="84">
        <v>17.998393328542424</v>
      </c>
      <c r="M20" s="79">
        <v>4.4999999999999998E-2</v>
      </c>
      <c r="N20" s="90">
        <v>968.29094673962459</v>
      </c>
      <c r="P20" s="84">
        <v>115</v>
      </c>
      <c r="Q20" s="87">
        <f t="shared" si="0"/>
        <v>6095</v>
      </c>
      <c r="R20" s="94">
        <v>480.14759005555237</v>
      </c>
    </row>
    <row r="21" spans="2:18" ht="15.75" thickBot="1" x14ac:dyDescent="0.3">
      <c r="B21" s="43" t="s">
        <v>3</v>
      </c>
      <c r="C21" s="10"/>
      <c r="D21" s="44"/>
      <c r="F21" s="15" t="s">
        <v>64</v>
      </c>
      <c r="G21" s="16" t="s">
        <v>70</v>
      </c>
      <c r="H21" s="16">
        <v>4</v>
      </c>
      <c r="I21" s="17">
        <f>I10*I19</f>
        <v>915.00726838177525</v>
      </c>
    </row>
    <row r="22" spans="2:18" ht="15.75" thickBot="1" x14ac:dyDescent="0.3">
      <c r="B22" s="18" t="s">
        <v>4</v>
      </c>
      <c r="C22" s="13" t="s">
        <v>5</v>
      </c>
      <c r="D22" s="45">
        <v>250</v>
      </c>
      <c r="F22" s="109" t="s">
        <v>84</v>
      </c>
      <c r="G22" s="110"/>
      <c r="H22" s="110"/>
      <c r="I22" s="111"/>
    </row>
    <row r="23" spans="2:18" x14ac:dyDescent="0.25">
      <c r="B23" s="18" t="s">
        <v>6</v>
      </c>
      <c r="C23" s="13" t="s">
        <v>5</v>
      </c>
      <c r="D23" s="45">
        <v>250</v>
      </c>
      <c r="F23" s="20" t="s">
        <v>94</v>
      </c>
      <c r="G23" s="21" t="s">
        <v>95</v>
      </c>
      <c r="H23" s="21">
        <v>11</v>
      </c>
      <c r="I23" s="46">
        <f>(D63*D65+(I13+I17)*D66*60)/1000</f>
        <v>14.668650395975636</v>
      </c>
    </row>
    <row r="24" spans="2:18" x14ac:dyDescent="0.25">
      <c r="B24" s="18" t="s">
        <v>7</v>
      </c>
      <c r="C24" s="13" t="s">
        <v>5</v>
      </c>
      <c r="D24" s="45">
        <v>280</v>
      </c>
      <c r="F24" s="23" t="s">
        <v>110</v>
      </c>
      <c r="G24" s="24" t="s">
        <v>70</v>
      </c>
      <c r="H24" s="24">
        <v>11</v>
      </c>
      <c r="I24" s="35">
        <f>I23*D67</f>
        <v>1.0268055277182946</v>
      </c>
    </row>
    <row r="25" spans="2:18" x14ac:dyDescent="0.25">
      <c r="B25" s="47" t="s">
        <v>8</v>
      </c>
      <c r="C25" s="13" t="s">
        <v>9</v>
      </c>
      <c r="D25" s="48">
        <v>540</v>
      </c>
      <c r="F25" s="23" t="s">
        <v>97</v>
      </c>
      <c r="G25" s="24" t="s">
        <v>98</v>
      </c>
      <c r="H25" s="24">
        <v>10</v>
      </c>
      <c r="I25" s="35">
        <f>D51*D56+D52*D57+D58*I17+D59*I13+D54*D60</f>
        <v>56.700574874037066</v>
      </c>
    </row>
    <row r="26" spans="2:18" x14ac:dyDescent="0.25">
      <c r="B26" s="49" t="s">
        <v>10</v>
      </c>
      <c r="C26" s="50" t="s">
        <v>11</v>
      </c>
      <c r="D26" s="51">
        <v>7</v>
      </c>
      <c r="F26" s="23" t="s">
        <v>111</v>
      </c>
      <c r="G26" s="24" t="s">
        <v>70</v>
      </c>
      <c r="H26" s="24">
        <v>10</v>
      </c>
      <c r="I26" s="35">
        <f>I25*D61/1000</f>
        <v>3.3169836301311686</v>
      </c>
    </row>
    <row r="27" spans="2:18" ht="15.75" thickBot="1" x14ac:dyDescent="0.3">
      <c r="B27" s="49" t="s">
        <v>112</v>
      </c>
      <c r="C27" s="50" t="s">
        <v>15</v>
      </c>
      <c r="D27" s="51">
        <v>2</v>
      </c>
      <c r="F27" s="29" t="s">
        <v>99</v>
      </c>
      <c r="G27" s="30" t="s">
        <v>70</v>
      </c>
      <c r="H27" s="30">
        <v>9</v>
      </c>
      <c r="I27" s="31">
        <f>I24+I26</f>
        <v>4.3437891578494634</v>
      </c>
    </row>
    <row r="28" spans="2:18" ht="15.75" thickBot="1" x14ac:dyDescent="0.3">
      <c r="B28" s="49" t="s">
        <v>68</v>
      </c>
      <c r="C28" s="50" t="s">
        <v>20</v>
      </c>
      <c r="D28" s="51">
        <v>22</v>
      </c>
      <c r="F28" s="109" t="s">
        <v>86</v>
      </c>
      <c r="G28" s="110"/>
      <c r="H28" s="110"/>
      <c r="I28" s="111"/>
    </row>
    <row r="29" spans="2:18" x14ac:dyDescent="0.25">
      <c r="B29" s="49" t="s">
        <v>57</v>
      </c>
      <c r="C29" s="50" t="s">
        <v>58</v>
      </c>
      <c r="D29" s="51">
        <v>30</v>
      </c>
      <c r="F29" s="20" t="s">
        <v>89</v>
      </c>
      <c r="G29" s="21" t="s">
        <v>71</v>
      </c>
      <c r="H29" s="21">
        <v>13</v>
      </c>
      <c r="I29" s="52">
        <f>D31/D32</f>
        <v>9.6</v>
      </c>
    </row>
    <row r="30" spans="2:18" ht="15.75" thickBot="1" x14ac:dyDescent="0.3">
      <c r="B30" s="47" t="s">
        <v>115</v>
      </c>
      <c r="C30" s="13" t="s">
        <v>113</v>
      </c>
      <c r="D30" s="45">
        <v>10</v>
      </c>
      <c r="F30" s="29" t="s">
        <v>90</v>
      </c>
      <c r="G30" s="30" t="s">
        <v>70</v>
      </c>
      <c r="H30" s="30">
        <v>12</v>
      </c>
      <c r="I30" s="31">
        <f>I29*(D51+D54+0.16)</f>
        <v>11.135999999999999</v>
      </c>
    </row>
    <row r="31" spans="2:18" ht="15.75" thickBot="1" x14ac:dyDescent="0.3">
      <c r="B31" s="47" t="s">
        <v>59</v>
      </c>
      <c r="C31" s="13" t="s">
        <v>70</v>
      </c>
      <c r="D31" s="45">
        <v>16560</v>
      </c>
      <c r="F31" s="109" t="s">
        <v>85</v>
      </c>
      <c r="G31" s="110"/>
      <c r="H31" s="110"/>
      <c r="I31" s="111"/>
    </row>
    <row r="32" spans="2:18" x14ac:dyDescent="0.25">
      <c r="B32" s="49" t="s">
        <v>87</v>
      </c>
      <c r="C32" s="50" t="s">
        <v>20</v>
      </c>
      <c r="D32" s="51">
        <v>1725</v>
      </c>
      <c r="F32" s="54" t="s">
        <v>107</v>
      </c>
      <c r="G32" s="55" t="s">
        <v>70</v>
      </c>
      <c r="H32" s="21">
        <v>1</v>
      </c>
      <c r="I32" s="76">
        <f>I5+I21+I27+I30</f>
        <v>968.29094673962459</v>
      </c>
    </row>
    <row r="33" spans="2:9" ht="15.75" thickBot="1" x14ac:dyDescent="0.3">
      <c r="B33" s="12" t="s">
        <v>27</v>
      </c>
      <c r="C33" s="67" t="s">
        <v>28</v>
      </c>
      <c r="D33" s="75">
        <v>25000</v>
      </c>
      <c r="F33" s="57" t="s">
        <v>104</v>
      </c>
      <c r="G33" s="58" t="s">
        <v>103</v>
      </c>
      <c r="H33" s="30"/>
      <c r="I33" s="59">
        <f>I32*27</f>
        <v>26143.855561969864</v>
      </c>
    </row>
    <row r="34" spans="2:9" x14ac:dyDescent="0.25">
      <c r="B34" s="12" t="s">
        <v>29</v>
      </c>
      <c r="C34" s="13"/>
      <c r="D34" s="61"/>
    </row>
    <row r="35" spans="2:9" x14ac:dyDescent="0.25">
      <c r="B35" s="66" t="s">
        <v>30</v>
      </c>
      <c r="C35" s="67" t="s">
        <v>31</v>
      </c>
      <c r="D35" s="19">
        <v>10000</v>
      </c>
    </row>
    <row r="36" spans="2:9" x14ac:dyDescent="0.25">
      <c r="B36" s="66" t="s">
        <v>26</v>
      </c>
      <c r="C36" s="67" t="s">
        <v>32</v>
      </c>
      <c r="D36" s="19">
        <v>60000</v>
      </c>
    </row>
    <row r="37" spans="2:9" x14ac:dyDescent="0.25">
      <c r="B37" s="12" t="s">
        <v>33</v>
      </c>
      <c r="C37" s="67"/>
      <c r="D37" s="61"/>
    </row>
    <row r="38" spans="2:9" x14ac:dyDescent="0.25">
      <c r="B38" s="66" t="s">
        <v>30</v>
      </c>
      <c r="C38" s="67" t="s">
        <v>34</v>
      </c>
      <c r="D38" s="48" t="s">
        <v>35</v>
      </c>
    </row>
    <row r="39" spans="2:9" ht="15.75" thickBot="1" x14ac:dyDescent="0.3">
      <c r="B39" s="69" t="s">
        <v>26</v>
      </c>
      <c r="C39" s="70" t="s">
        <v>32</v>
      </c>
      <c r="D39" s="53">
        <v>400</v>
      </c>
    </row>
    <row r="40" spans="2:9" ht="15.75" thickBot="1" x14ac:dyDescent="0.3">
      <c r="B40" s="56"/>
    </row>
    <row r="41" spans="2:9" ht="15.75" thickBot="1" x14ac:dyDescent="0.3">
      <c r="B41" s="100" t="s">
        <v>12</v>
      </c>
      <c r="C41" s="101"/>
      <c r="D41" s="102"/>
    </row>
    <row r="42" spans="2:9" ht="15.75" thickBot="1" x14ac:dyDescent="0.3">
      <c r="B42" s="6" t="s">
        <v>0</v>
      </c>
      <c r="C42" s="7" t="s">
        <v>1</v>
      </c>
      <c r="D42" s="8" t="s">
        <v>2</v>
      </c>
    </row>
    <row r="43" spans="2:9" x14ac:dyDescent="0.25">
      <c r="B43" s="43" t="s">
        <v>13</v>
      </c>
      <c r="C43" s="10" t="s">
        <v>5</v>
      </c>
      <c r="D43" s="60">
        <v>0.15</v>
      </c>
    </row>
    <row r="44" spans="2:9" x14ac:dyDescent="0.25">
      <c r="B44" s="47" t="s">
        <v>14</v>
      </c>
      <c r="C44" s="13" t="s">
        <v>15</v>
      </c>
      <c r="D44" s="45">
        <v>0.7</v>
      </c>
    </row>
    <row r="45" spans="2:9" x14ac:dyDescent="0.25">
      <c r="B45" s="47" t="s">
        <v>16</v>
      </c>
      <c r="C45" s="13" t="s">
        <v>78</v>
      </c>
      <c r="D45" s="48">
        <v>2000</v>
      </c>
    </row>
    <row r="46" spans="2:9" x14ac:dyDescent="0.25">
      <c r="B46" s="47" t="s">
        <v>17</v>
      </c>
      <c r="C46" s="13" t="s">
        <v>78</v>
      </c>
      <c r="D46" s="48">
        <v>7000</v>
      </c>
    </row>
    <row r="47" spans="2:9" x14ac:dyDescent="0.25">
      <c r="B47" s="47" t="s">
        <v>18</v>
      </c>
      <c r="C47" s="13" t="s">
        <v>5</v>
      </c>
      <c r="D47" s="48">
        <v>4.4999999999999998E-2</v>
      </c>
    </row>
    <row r="48" spans="2:9" x14ac:dyDescent="0.25">
      <c r="B48" s="47" t="s">
        <v>60</v>
      </c>
      <c r="C48" s="13" t="s">
        <v>15</v>
      </c>
      <c r="D48" s="45">
        <v>1</v>
      </c>
    </row>
    <row r="49" spans="2:4" x14ac:dyDescent="0.25">
      <c r="B49" s="47" t="s">
        <v>61</v>
      </c>
      <c r="C49" s="13" t="s">
        <v>15</v>
      </c>
      <c r="D49" s="45">
        <v>1</v>
      </c>
    </row>
    <row r="50" spans="2:4" x14ac:dyDescent="0.25">
      <c r="B50" s="47" t="s">
        <v>19</v>
      </c>
      <c r="C50" s="13"/>
      <c r="D50" s="61"/>
    </row>
    <row r="51" spans="2:4" x14ac:dyDescent="0.25">
      <c r="B51" s="18" t="s">
        <v>52</v>
      </c>
      <c r="C51" s="13" t="s">
        <v>20</v>
      </c>
      <c r="D51" s="45">
        <v>0.5</v>
      </c>
    </row>
    <row r="52" spans="2:4" x14ac:dyDescent="0.25">
      <c r="B52" s="18" t="s">
        <v>53</v>
      </c>
      <c r="C52" s="13" t="s">
        <v>20</v>
      </c>
      <c r="D52" s="45">
        <v>0.25</v>
      </c>
    </row>
    <row r="53" spans="2:4" x14ac:dyDescent="0.25">
      <c r="B53" s="62" t="s">
        <v>54</v>
      </c>
      <c r="C53" s="13" t="s">
        <v>21</v>
      </c>
      <c r="D53" s="45">
        <v>8</v>
      </c>
    </row>
    <row r="54" spans="2:4" x14ac:dyDescent="0.25">
      <c r="B54" s="62" t="s">
        <v>55</v>
      </c>
      <c r="C54" s="13" t="s">
        <v>20</v>
      </c>
      <c r="D54" s="45">
        <v>0.5</v>
      </c>
    </row>
    <row r="55" spans="2:4" x14ac:dyDescent="0.25">
      <c r="B55" s="36" t="s">
        <v>100</v>
      </c>
      <c r="C55" s="24"/>
      <c r="D55" s="63"/>
    </row>
    <row r="56" spans="2:4" x14ac:dyDescent="0.25">
      <c r="B56" s="18" t="s">
        <v>52</v>
      </c>
      <c r="C56" s="24" t="s">
        <v>51</v>
      </c>
      <c r="D56" s="42">
        <v>0.7</v>
      </c>
    </row>
    <row r="57" spans="2:4" x14ac:dyDescent="0.25">
      <c r="B57" s="18" t="s">
        <v>53</v>
      </c>
      <c r="C57" s="13" t="s">
        <v>51</v>
      </c>
      <c r="D57" s="45">
        <v>2.1</v>
      </c>
    </row>
    <row r="58" spans="2:4" x14ac:dyDescent="0.25">
      <c r="B58" s="64" t="s">
        <v>56</v>
      </c>
      <c r="C58" s="24" t="s">
        <v>51</v>
      </c>
      <c r="D58" s="42">
        <v>3.1</v>
      </c>
    </row>
    <row r="59" spans="2:4" x14ac:dyDescent="0.25">
      <c r="B59" s="62" t="s">
        <v>54</v>
      </c>
      <c r="C59" s="13" t="s">
        <v>51</v>
      </c>
      <c r="D59" s="45">
        <v>3.4</v>
      </c>
    </row>
    <row r="60" spans="2:4" x14ac:dyDescent="0.25">
      <c r="B60" s="62" t="s">
        <v>55</v>
      </c>
      <c r="C60" s="24" t="s">
        <v>51</v>
      </c>
      <c r="D60" s="42">
        <v>0.7</v>
      </c>
    </row>
    <row r="61" spans="2:4" x14ac:dyDescent="0.25">
      <c r="B61" s="65" t="s">
        <v>101</v>
      </c>
      <c r="C61" s="24" t="s">
        <v>102</v>
      </c>
      <c r="D61" s="42">
        <v>58.5</v>
      </c>
    </row>
    <row r="62" spans="2:4" x14ac:dyDescent="0.25">
      <c r="B62" s="65" t="s">
        <v>22</v>
      </c>
      <c r="C62" s="13"/>
      <c r="D62" s="61"/>
    </row>
    <row r="63" spans="2:4" x14ac:dyDescent="0.25">
      <c r="B63" s="66" t="s">
        <v>93</v>
      </c>
      <c r="C63" s="67" t="s">
        <v>91</v>
      </c>
      <c r="D63" s="45">
        <v>10</v>
      </c>
    </row>
    <row r="64" spans="2:4" x14ac:dyDescent="0.25">
      <c r="B64" s="68" t="s">
        <v>23</v>
      </c>
      <c r="C64" s="67"/>
      <c r="D64" s="61"/>
    </row>
    <row r="65" spans="2:4" x14ac:dyDescent="0.25">
      <c r="B65" s="66" t="s">
        <v>92</v>
      </c>
      <c r="C65" s="67" t="s">
        <v>24</v>
      </c>
      <c r="D65" s="48">
        <v>60</v>
      </c>
    </row>
    <row r="66" spans="2:4" x14ac:dyDescent="0.25">
      <c r="B66" s="66" t="s">
        <v>25</v>
      </c>
      <c r="C66" s="67" t="s">
        <v>24</v>
      </c>
      <c r="D66" s="48">
        <v>14</v>
      </c>
    </row>
    <row r="67" spans="2:4" ht="15.75" thickBot="1" x14ac:dyDescent="0.3">
      <c r="B67" s="69" t="s">
        <v>26</v>
      </c>
      <c r="C67" s="70" t="s">
        <v>96</v>
      </c>
      <c r="D67" s="71">
        <v>7.0000000000000007E-2</v>
      </c>
    </row>
    <row r="68" spans="2:4" x14ac:dyDescent="0.25">
      <c r="B68" s="72"/>
      <c r="C68" s="73"/>
      <c r="D68" s="74"/>
    </row>
    <row r="69" spans="2:4" x14ac:dyDescent="0.25">
      <c r="C69" s="1"/>
    </row>
    <row r="70" spans="2:4" x14ac:dyDescent="0.25">
      <c r="C70" s="1"/>
    </row>
    <row r="71" spans="2:4" x14ac:dyDescent="0.25">
      <c r="C71" s="1"/>
    </row>
    <row r="72" spans="2:4" x14ac:dyDescent="0.25">
      <c r="C72" s="1"/>
    </row>
    <row r="73" spans="2:4" x14ac:dyDescent="0.25">
      <c r="C73" s="1"/>
    </row>
    <row r="74" spans="2:4" x14ac:dyDescent="0.25">
      <c r="C74" s="1"/>
    </row>
    <row r="75" spans="2:4" x14ac:dyDescent="0.25">
      <c r="C75" s="1"/>
    </row>
    <row r="77" spans="2:4" x14ac:dyDescent="0.25">
      <c r="D77" s="1" t="s">
        <v>36</v>
      </c>
    </row>
  </sheetData>
  <mergeCells count="15">
    <mergeCell ref="K2:N2"/>
    <mergeCell ref="P2:R2"/>
    <mergeCell ref="B1:D1"/>
    <mergeCell ref="B19:D19"/>
    <mergeCell ref="B41:D41"/>
    <mergeCell ref="B2:D2"/>
    <mergeCell ref="B12:D12"/>
    <mergeCell ref="F2:I2"/>
    <mergeCell ref="F4:I4"/>
    <mergeCell ref="F6:I6"/>
    <mergeCell ref="F31:I31"/>
    <mergeCell ref="F28:I28"/>
    <mergeCell ref="F22:I22"/>
    <mergeCell ref="F20:I20"/>
    <mergeCell ref="F11:I1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Scholz</dc:creator>
  <cp:lastModifiedBy>Pavel Scholz</cp:lastModifiedBy>
  <dcterms:created xsi:type="dcterms:W3CDTF">2015-11-26T13:42:26Z</dcterms:created>
  <dcterms:modified xsi:type="dcterms:W3CDTF">2023-01-28T14:57:32Z</dcterms:modified>
</cp:coreProperties>
</file>